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65" yWindow="1185" windowWidth="6570" windowHeight="4410" tabRatio="847" activeTab="0"/>
  </bookViews>
  <sheets>
    <sheet name="VO2 A E" sheetId="1" r:id="rId1"/>
    <sheet name="PEROMOD" sheetId="2" state="hidden" r:id="rId2"/>
  </sheets>
  <definedNames>
    <definedName name="A">'VO2 A E'!$F$5</definedName>
    <definedName name="B">'PEROMOD'!$L$8:$L$23</definedName>
    <definedName name="BM">'PEROMOD'!$C$3</definedName>
    <definedName name="BMR">'PEROMOD'!$C$2</definedName>
    <definedName name="D">'PEROMOD'!$A$8:$A$23</definedName>
    <definedName name="E">'VO2 A E'!$F$7</definedName>
    <definedName name="K">'PEROMOD'!$C$4</definedName>
    <definedName name="KL">'PEROMOD'!$C$5</definedName>
    <definedName name="MAP">'VO2 A E'!$F$3</definedName>
    <definedName name="S">'PEROMOD'!$M$8:$M$23</definedName>
    <definedName name="solver_adj" localSheetId="1" hidden="1">'PEROMOD'!$C$14,'PEROMOD'!$C$18:$C$19,'PEROMOD'!$C$23</definedName>
    <definedName name="solver_adj" localSheetId="0" hidden="1">'VO2 A E'!$F$3,'VO2 A E'!$F$5,'VO2 A E'!$F$7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0" hidden="1">'VO2 A E'!$F$5</definedName>
    <definedName name="solver_lhs2" localSheetId="0" hidden="1">'VO2 A E'!$F$5</definedName>
    <definedName name="solver_lhs3" localSheetId="0" hidden="1">'VO2 A E'!$G$3</definedName>
    <definedName name="solver_lhs4" localSheetId="0" hidden="1">'VO2 A E'!$G$3</definedName>
    <definedName name="solver_lhs5" localSheetId="0" hidden="1">'VO2 A E'!$F$7</definedName>
    <definedName name="solver_lhs6" localSheetId="0" hidden="1">'VO2 A E'!$F$5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5</definedName>
    <definedName name="solver_nwt" localSheetId="1" hidden="1">1</definedName>
    <definedName name="solver_nwt" localSheetId="0" hidden="1">1</definedName>
    <definedName name="solver_opt" localSheetId="1" hidden="1">'PEROMOD'!$N$24</definedName>
    <definedName name="solver_opt" localSheetId="0" hidden="1">'VO2 A E'!$F$10</definedName>
    <definedName name="solver_pre" localSheetId="1" hidden="1">0.000001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1</definedName>
    <definedName name="solver_rhs1" localSheetId="0" hidden="1">500</definedName>
    <definedName name="solver_rhs2" localSheetId="0" hidden="1">1657</definedName>
    <definedName name="solver_rhs3" localSheetId="0" hidden="1">30</definedName>
    <definedName name="solver_rhs4" localSheetId="0" hidden="1">10</definedName>
    <definedName name="solver_rhs5" localSheetId="0" hidden="1">-1.5</definedName>
    <definedName name="solver_rhs6" localSheetId="0" hidden="1">1657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T">'PEROMOD'!$C$8:$C$23</definedName>
  </definedNames>
  <calcPr fullCalcOnLoad="1"/>
</workbook>
</file>

<file path=xl/comments1.xml><?xml version="1.0" encoding="utf-8"?>
<comments xmlns="http://schemas.openxmlformats.org/spreadsheetml/2006/main">
  <authors>
    <author>cours deust 1</author>
  </authors>
  <commentList>
    <comment ref="F10" authorId="0">
      <text>
        <r>
          <rPr>
            <b/>
            <sz val="10"/>
            <rFont val="Tahoma"/>
            <family val="0"/>
          </rPr>
          <t>cellule cible</t>
        </r>
        <r>
          <rPr>
            <sz val="10"/>
            <rFont val="Tahoma"/>
            <family val="0"/>
          </rPr>
          <t xml:space="preserve">
</t>
        </r>
      </text>
    </comment>
    <comment ref="C21" authorId="0">
      <text>
        <r>
          <rPr>
            <sz val="10"/>
            <rFont val="Tahoma"/>
            <family val="0"/>
          </rPr>
          <t>respecter le format avec les ":" entre les h min et s</t>
        </r>
      </text>
    </comment>
  </commentList>
</comments>
</file>

<file path=xl/comments2.xml><?xml version="1.0" encoding="utf-8"?>
<comments xmlns="http://schemas.openxmlformats.org/spreadsheetml/2006/main">
  <authors>
    <author>Un utilisateur satisfait de Microsoft Office</author>
  </authors>
  <commentList>
    <comment ref="A31" authorId="0">
      <text>
        <r>
          <rPr>
            <sz val="10"/>
            <rFont val="Tahoma"/>
            <family val="0"/>
          </rPr>
          <t>UFR:
vérifier</t>
        </r>
      </text>
    </comment>
  </commentList>
</comments>
</file>

<file path=xl/sharedStrings.xml><?xml version="1.0" encoding="utf-8"?>
<sst xmlns="http://schemas.openxmlformats.org/spreadsheetml/2006/main" count="48" uniqueCount="46">
  <si>
    <t>Données</t>
  </si>
  <si>
    <t xml:space="preserve">BMR </t>
  </si>
  <si>
    <t xml:space="preserve">BM </t>
  </si>
  <si>
    <t>Distance (m)</t>
  </si>
  <si>
    <t>Temps(sexa)</t>
  </si>
  <si>
    <t>Temps (s)</t>
  </si>
  <si>
    <t>Vitesse (m/s)</t>
  </si>
  <si>
    <t>Pv (w/kg)</t>
  </si>
  <si>
    <t>Pest(w/kg)</t>
  </si>
  <si>
    <t>Pana</t>
  </si>
  <si>
    <t>%Pt</t>
  </si>
  <si>
    <t>Paér</t>
  </si>
  <si>
    <t>B</t>
  </si>
  <si>
    <t>S</t>
  </si>
  <si>
    <t>Résultats</t>
  </si>
  <si>
    <t xml:space="preserve">MAP(W/kg)  </t>
  </si>
  <si>
    <t>A(J/kg)</t>
  </si>
  <si>
    <t>A(ml/kg)</t>
  </si>
  <si>
    <t>E(%)</t>
  </si>
  <si>
    <t>E(W/kg/s)</t>
  </si>
  <si>
    <t>Méta base</t>
  </si>
  <si>
    <t>K1</t>
  </si>
  <si>
    <t>K2</t>
  </si>
  <si>
    <t>cste t aéro</t>
  </si>
  <si>
    <t>cste t anaéro</t>
  </si>
  <si>
    <t>w/kg</t>
  </si>
  <si>
    <t>kg</t>
  </si>
  <si>
    <t>s</t>
  </si>
  <si>
    <t>Elite</t>
  </si>
  <si>
    <t>(Pv-Pest)2</t>
  </si>
  <si>
    <t>Masse cor (kg)</t>
  </si>
  <si>
    <t>personnels</t>
  </si>
  <si>
    <t>de l'élite</t>
  </si>
  <si>
    <t>Erreur²</t>
  </si>
  <si>
    <t>Vitesse (km/h)</t>
  </si>
  <si>
    <t>T (s)</t>
  </si>
  <si>
    <t>1500 m</t>
  </si>
  <si>
    <t>Gain (sexa)</t>
  </si>
  <si>
    <t>5000 m</t>
  </si>
  <si>
    <t>10000 m</t>
  </si>
  <si>
    <t>20994 m</t>
  </si>
  <si>
    <t>42195 m</t>
  </si>
  <si>
    <t>VO2max(ml/min/kg)</t>
  </si>
  <si>
    <r>
      <t>VO</t>
    </r>
    <r>
      <rPr>
        <i/>
        <vertAlign val="subscript"/>
        <sz val="10"/>
        <color indexed="9"/>
        <rFont val="Geneva"/>
        <family val="0"/>
      </rPr>
      <t>2</t>
    </r>
    <r>
      <rPr>
        <i/>
        <sz val="10"/>
        <color indexed="9"/>
        <rFont val="Geneva"/>
        <family val="0"/>
      </rPr>
      <t>(ml/min/kg)</t>
    </r>
  </si>
  <si>
    <t>T' (sexa)</t>
  </si>
  <si>
    <t>Distance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</si>
</sst>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0.000"/>
    <numFmt numFmtId="185" formatCode="0.0"/>
    <numFmt numFmtId="186" formatCode="_-* #,##0&quot; F&quot;_-;\-* #,##0&quot; F&quot;_-;_-* &quot;-&quot;&quot; F&quot;_-;_-@_-"/>
    <numFmt numFmtId="187" formatCode="_-* #,##0_ _F_-;\-* #,##0_ _F_-;_-* &quot;-&quot;_ _F_-;_-@_-"/>
    <numFmt numFmtId="188" formatCode="_-* #,##0.00&quot; F&quot;_-;\-* #,##0.00&quot; F&quot;_-;_-* &quot;-&quot;??&quot; F&quot;_-;_-@_-"/>
    <numFmt numFmtId="189" formatCode="_-* #,##0.00_ _F_-;\-* #,##0.00_ _F_-;_-* &quot;-&quot;??_ _F_-;_-@_-"/>
    <numFmt numFmtId="190" formatCode="#,##0.000;[Red]\-#,##0.000"/>
    <numFmt numFmtId="191" formatCode="#,##0.0;[Red]\-#,##0.0"/>
    <numFmt numFmtId="192" formatCode="0.0%"/>
    <numFmt numFmtId="193" formatCode="#,##0.0\ _€;[Red]\-#,##0.0\ _€"/>
    <numFmt numFmtId="194" formatCode="#,##0.00;[Red]\-#,##0.00"/>
    <numFmt numFmtId="195" formatCode="#,##0;[Red]\-#,##0"/>
    <numFmt numFmtId="196" formatCode="#,##0.000\ _€;[Red]\-#,##0.000\ _€"/>
    <numFmt numFmtId="197" formatCode="0.00_ ;\-0.00\ "/>
    <numFmt numFmtId="198" formatCode="0.0_ ;\-0.0\ "/>
    <numFmt numFmtId="199" formatCode="00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ahoma"/>
      <family val="0"/>
    </font>
    <font>
      <sz val="8"/>
      <name val="Tahoma"/>
      <family val="2"/>
    </font>
    <font>
      <b/>
      <sz val="10"/>
      <name val="Tahoma"/>
      <family val="0"/>
    </font>
    <font>
      <sz val="10"/>
      <color indexed="58"/>
      <name val="Geneva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48"/>
      <name val="Geneva"/>
      <family val="0"/>
    </font>
    <font>
      <b/>
      <sz val="10"/>
      <color indexed="48"/>
      <name val="Geneva"/>
      <family val="0"/>
    </font>
    <font>
      <sz val="8"/>
      <color indexed="22"/>
      <name val="Geneva"/>
      <family val="0"/>
    </font>
    <font>
      <b/>
      <sz val="10"/>
      <color indexed="9"/>
      <name val="Geneva"/>
      <family val="0"/>
    </font>
    <font>
      <sz val="10"/>
      <color indexed="9"/>
      <name val="Geneva"/>
      <family val="0"/>
    </font>
    <font>
      <i/>
      <sz val="10"/>
      <color indexed="9"/>
      <name val="Geneva"/>
      <family val="0"/>
    </font>
    <font>
      <i/>
      <vertAlign val="subscript"/>
      <sz val="10"/>
      <color indexed="9"/>
      <name val="Geneva"/>
      <family val="0"/>
    </font>
    <font>
      <b/>
      <i/>
      <sz val="10"/>
      <color indexed="9"/>
      <name val="Geneva"/>
      <family val="0"/>
    </font>
    <font>
      <b/>
      <sz val="8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191" fontId="0" fillId="0" borderId="0" xfId="17" applyNumberFormat="1" applyBorder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Alignment="1">
      <alignment/>
    </xf>
    <xf numFmtId="21" fontId="0" fillId="2" borderId="0" xfId="0" applyNumberForma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0" fontId="11" fillId="0" borderId="0" xfId="17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1" fontId="0" fillId="0" borderId="0" xfId="0" applyNumberFormat="1" applyFill="1" applyAlignment="1">
      <alignment/>
    </xf>
    <xf numFmtId="21" fontId="0" fillId="0" borderId="0" xfId="0" applyNumberFormat="1" applyAlignment="1">
      <alignment/>
    </xf>
    <xf numFmtId="21" fontId="0" fillId="0" borderId="0" xfId="17" applyNumberFormat="1" applyAlignment="1">
      <alignment/>
    </xf>
    <xf numFmtId="195" fontId="1" fillId="0" borderId="0" xfId="17" applyNumberFormat="1" applyFont="1" applyBorder="1" applyAlignment="1">
      <alignment/>
    </xf>
    <xf numFmtId="191" fontId="15" fillId="0" borderId="0" xfId="17" applyNumberFormat="1" applyFont="1" applyFill="1" applyBorder="1" applyAlignment="1">
      <alignment/>
    </xf>
    <xf numFmtId="195" fontId="15" fillId="0" borderId="0" xfId="17" applyNumberFormat="1" applyFont="1" applyFill="1" applyBorder="1" applyAlignment="1">
      <alignment/>
    </xf>
    <xf numFmtId="38" fontId="0" fillId="0" borderId="0" xfId="17" applyNumberFormat="1" applyFont="1" applyBorder="1" applyAlignment="1">
      <alignment horizontal="right"/>
    </xf>
    <xf numFmtId="185" fontId="0" fillId="0" borderId="0" xfId="0" applyNumberFormat="1" applyBorder="1" applyAlignment="1">
      <alignment horizontal="right"/>
    </xf>
    <xf numFmtId="38" fontId="0" fillId="0" borderId="0" xfId="17" applyNumberFormat="1" applyBorder="1" applyAlignment="1">
      <alignment horizontal="right"/>
    </xf>
    <xf numFmtId="198" fontId="16" fillId="0" borderId="0" xfId="17" applyNumberFormat="1" applyFont="1" applyFill="1" applyBorder="1" applyAlignment="1">
      <alignment/>
    </xf>
    <xf numFmtId="0" fontId="17" fillId="0" borderId="0" xfId="0" applyFont="1" applyAlignment="1">
      <alignment/>
    </xf>
    <xf numFmtId="199" fontId="17" fillId="3" borderId="0" xfId="0" applyNumberFormat="1" applyFont="1" applyFill="1" applyBorder="1" applyAlignment="1" applyProtection="1">
      <alignment horizontal="left"/>
      <protection locked="0"/>
    </xf>
    <xf numFmtId="198" fontId="0" fillId="0" borderId="0" xfId="17" applyNumberFormat="1" applyBorder="1" applyAlignment="1">
      <alignment/>
    </xf>
    <xf numFmtId="199" fontId="0" fillId="0" borderId="0" xfId="0" applyNumberFormat="1" applyAlignment="1">
      <alignment/>
    </xf>
    <xf numFmtId="40" fontId="17" fillId="3" borderId="0" xfId="17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 applyProtection="1">
      <alignment/>
      <protection locked="0"/>
    </xf>
    <xf numFmtId="21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0" fontId="19" fillId="0" borderId="0" xfId="17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40" fontId="19" fillId="0" borderId="0" xfId="0" applyNumberFormat="1" applyFont="1" applyFill="1" applyBorder="1" applyAlignment="1">
      <alignment/>
    </xf>
    <xf numFmtId="191" fontId="19" fillId="0" borderId="0" xfId="17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4" fontId="1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91" fontId="18" fillId="0" borderId="0" xfId="17" applyNumberFormat="1" applyFont="1" applyFill="1" applyBorder="1" applyAlignment="1">
      <alignment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7225"/>
          <c:w val="0.8525"/>
          <c:h val="0.8035"/>
        </c:manualLayout>
      </c:layout>
      <c:scatterChart>
        <c:scatterStyle val="lineMarker"/>
        <c:varyColors val="0"/>
        <c:ser>
          <c:idx val="0"/>
          <c:order val="0"/>
          <c:tx>
            <c:strRef>
              <c:f>PEROMOD!$F$7</c:f>
              <c:strCache>
                <c:ptCount val="1"/>
                <c:pt idx="0">
                  <c:v>Pv (w/kg)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PEROMOD!$C$8:$C$23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163</c:v>
                </c:pt>
                <c:pt idx="6">
                  <c:v>275</c:v>
                </c:pt>
                <c:pt idx="7">
                  <c:v>0</c:v>
                </c:pt>
                <c:pt idx="8">
                  <c:v>0</c:v>
                </c:pt>
                <c:pt idx="9">
                  <c:v>578</c:v>
                </c:pt>
                <c:pt idx="10">
                  <c:v>990</c:v>
                </c:pt>
                <c:pt idx="11">
                  <c:v>2100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PEROMOD!$F$8:$F$23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28.20922799310333</c:v>
                </c:pt>
                <c:pt idx="6">
                  <c:v>24.485484079898438</c:v>
                </c:pt>
                <c:pt idx="7">
                  <c:v>0</c:v>
                </c:pt>
                <c:pt idx="8">
                  <c:v>0</c:v>
                </c:pt>
                <c:pt idx="9">
                  <c:v>23.063558079280387</c:v>
                </c:pt>
                <c:pt idx="10">
                  <c:v>22.345702652410267</c:v>
                </c:pt>
                <c:pt idx="11">
                  <c:v>20.942985973809336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PEROMOD!$G$7</c:f>
              <c:strCache>
                <c:ptCount val="1"/>
                <c:pt idx="0">
                  <c:v>Pest(w/kg)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3E3E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PEROMOD!$C$8:$C$23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163</c:v>
                </c:pt>
                <c:pt idx="6">
                  <c:v>275</c:v>
                </c:pt>
                <c:pt idx="7">
                  <c:v>0</c:v>
                </c:pt>
                <c:pt idx="8">
                  <c:v>0</c:v>
                </c:pt>
                <c:pt idx="9">
                  <c:v>578</c:v>
                </c:pt>
                <c:pt idx="10">
                  <c:v>990</c:v>
                </c:pt>
                <c:pt idx="11">
                  <c:v>2100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PEROMOD!$G$8:$G$23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27.529187819590796</c:v>
                </c:pt>
                <c:pt idx="6">
                  <c:v>25.57403548388504</c:v>
                </c:pt>
                <c:pt idx="7">
                  <c:v>0</c:v>
                </c:pt>
                <c:pt idx="8">
                  <c:v>0</c:v>
                </c:pt>
                <c:pt idx="9">
                  <c:v>23.455954782876947</c:v>
                </c:pt>
                <c:pt idx="10">
                  <c:v>21.999662786340103</c:v>
                </c:pt>
                <c:pt idx="11">
                  <c:v>20.485587098177213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49257767"/>
        <c:axId val="40666720"/>
      </c:scatterChart>
      <c:valAx>
        <c:axId val="4925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666720"/>
        <c:crosses val="autoZero"/>
        <c:crossBetween val="midCat"/>
        <c:dispUnits/>
      </c:valAx>
      <c:valAx>
        <c:axId val="40666720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Puissance développée(W/kg)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25776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675"/>
          <c:y val="0"/>
        </c:manualLayout>
      </c:layout>
      <c:overlay val="0"/>
    </c:legend>
    <c:plotVisOnly val="1"/>
    <c:dispBlanksAs val="gap"/>
    <c:showDLblsOverMax val="0"/>
  </c:chart>
  <c:spPr>
    <a:ln w="3175">
      <a:solidFill>
        <a:srgbClr val="CC9CCC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records personnels (km/h)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1725"/>
          <c:w val="0.747"/>
          <c:h val="0.637"/>
        </c:manualLayout>
      </c:layout>
      <c:scatterChart>
        <c:scatterStyle val="lineMarker"/>
        <c:varyColors val="0"/>
        <c:ser>
          <c:idx val="0"/>
          <c:order val="0"/>
          <c:tx>
            <c:strRef>
              <c:f>PEROMOD!$E$7</c:f>
              <c:strCache>
                <c:ptCount val="1"/>
                <c:pt idx="0">
                  <c:v>Vitesse (km/h)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PEROMOD!$C$8:$C$23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163</c:v>
                </c:pt>
                <c:pt idx="6">
                  <c:v>275</c:v>
                </c:pt>
                <c:pt idx="7">
                  <c:v>0</c:v>
                </c:pt>
                <c:pt idx="8">
                  <c:v>0</c:v>
                </c:pt>
                <c:pt idx="9">
                  <c:v>578</c:v>
                </c:pt>
                <c:pt idx="10">
                  <c:v>990</c:v>
                </c:pt>
                <c:pt idx="11">
                  <c:v>2100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PEROMOD!$E$8:$E$23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22.085889570552148</c:v>
                </c:pt>
                <c:pt idx="6">
                  <c:v>19.636363636363637</c:v>
                </c:pt>
                <c:pt idx="7">
                  <c:v>0</c:v>
                </c:pt>
                <c:pt idx="8">
                  <c:v>0</c:v>
                </c:pt>
                <c:pt idx="9">
                  <c:v>18.685121107266436</c:v>
                </c:pt>
                <c:pt idx="10">
                  <c:v>18.18181818181818</c:v>
                </c:pt>
                <c:pt idx="11">
                  <c:v>17.142857142857142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30456161"/>
        <c:axId val="5669994"/>
      </c:scatterChart>
      <c:valAx>
        <c:axId val="30456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69994"/>
        <c:crosses val="autoZero"/>
        <c:crossBetween val="midCat"/>
        <c:dispUnits/>
      </c:valAx>
      <c:valAx>
        <c:axId val="5669994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Vitesse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4561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record du monde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15125"/>
          <c:w val="0.84175"/>
          <c:h val="0.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PEROMOD!$D$7</c:f>
              <c:strCache>
                <c:ptCount val="1"/>
                <c:pt idx="0">
                  <c:v>Vitesse (m/s)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PEROMOD!$C$8:$C$23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PEROMOD!$D$8:$D$23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51029947"/>
        <c:axId val="56616340"/>
      </c:scatterChart>
      <c:valAx>
        <c:axId val="5102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616340"/>
        <c:crosses val="autoZero"/>
        <c:crossBetween val="midCat"/>
        <c:dispUnits/>
      </c:valAx>
      <c:valAx>
        <c:axId val="5661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029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10</xdr:row>
      <xdr:rowOff>104775</xdr:rowOff>
    </xdr:from>
    <xdr:to>
      <xdr:col>8</xdr:col>
      <xdr:colOff>581025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667000" y="1724025"/>
        <a:ext cx="37147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0</xdr:rowOff>
    </xdr:from>
    <xdr:to>
      <xdr:col>11</xdr:col>
      <xdr:colOff>657225</xdr:colOff>
      <xdr:row>40</xdr:row>
      <xdr:rowOff>152400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85725" y="4371975"/>
          <a:ext cx="8658225" cy="2257425"/>
        </a:xfrm>
        <a:prstGeom prst="rect">
          <a:avLst/>
        </a:prstGeom>
        <a:solidFill>
          <a:srgbClr val="CCFFCC"/>
        </a:solidFill>
        <a:ln w="9525" cmpd="sng">
          <a:solidFill>
            <a:srgbClr val="69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Mode d'emploi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1/ Dans les cellules surlignées en bleu,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rentrez votre masse corporelle et vos différents temps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sur diverses distances en respectant le format sexagésimal (deux points entre les heures les minutes et les secondes) comme dans l'exemple ci-dessus où 4 records personnels ont été saisis. N'oubliez pas d'effacer les records affichés pour l'exemple avant de passer à l'étape suivante.
2/ Appliquez le modèle de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Péronnet et Thibault (1989)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en exécutant le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solveur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dans le menu "outils" et en appuyant sur résoudre sans modifier la cellule cible (erreur²) ni les paramètres variables (A, VO2max et E). Si le solveur n'est pas installé, il faut le faire en allant dans 'macro complémentaire toujours dans le menu "outils". Examinez vos 3 aptitudes énergétiques fondamentales et comparez les aux valeurs de l'élite mondiale. Sur le graph Pv représente la puissance nécessairement développée pour courir à une vitesse donnée et Pest représente la puissance estimée par le modèle de Péronnet.
3/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Orientez votre entraînement futur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en fonction de vos aptitudes personnelles. Pour développer spécifiquement une aptitude énergétique, référez-vous aux exercices spécifiques présentés dans le tableau 1 de l'article. Incluez dans votre programme les séances alors recommandées et chaussez vos baskets!
RC
</a:t>
          </a:r>
        </a:p>
      </xdr:txBody>
    </xdr:sp>
    <xdr:clientData/>
  </xdr:twoCellAnchor>
  <xdr:twoCellAnchor>
    <xdr:from>
      <xdr:col>8</xdr:col>
      <xdr:colOff>771525</xdr:colOff>
      <xdr:row>12</xdr:row>
      <xdr:rowOff>57150</xdr:rowOff>
    </xdr:from>
    <xdr:to>
      <xdr:col>11</xdr:col>
      <xdr:colOff>361950</xdr:colOff>
      <xdr:row>22</xdr:row>
      <xdr:rowOff>123825</xdr:rowOff>
    </xdr:to>
    <xdr:graphicFrame>
      <xdr:nvGraphicFramePr>
        <xdr:cNvPr id="3" name="Chart 16"/>
        <xdr:cNvGraphicFramePr/>
      </xdr:nvGraphicFramePr>
      <xdr:xfrm>
        <a:off x="6572250" y="2000250"/>
        <a:ext cx="187642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809625</xdr:colOff>
      <xdr:row>7</xdr:row>
      <xdr:rowOff>76200</xdr:rowOff>
    </xdr:from>
    <xdr:to>
      <xdr:col>26</xdr:col>
      <xdr:colOff>457200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20602575" y="1209675"/>
        <a:ext cx="3114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Q25"/>
  <sheetViews>
    <sheetView showGridLines="0" tabSelected="1" workbookViewId="0" topLeftCell="A1">
      <selection activeCell="M24" sqref="M24"/>
    </sheetView>
  </sheetViews>
  <sheetFormatPr defaultColWidth="11.00390625" defaultRowHeight="12.75"/>
  <cols>
    <col min="1" max="1" width="2.00390625" style="0" customWidth="1"/>
    <col min="2" max="2" width="12.875" style="0" customWidth="1"/>
    <col min="8" max="8" width="6.25390625" style="0" customWidth="1"/>
    <col min="9" max="9" width="10.75390625" style="0" customWidth="1"/>
    <col min="10" max="10" width="8.25390625" style="0" customWidth="1"/>
    <col min="12" max="12" width="9.375" style="0" customWidth="1"/>
  </cols>
  <sheetData>
    <row r="2" spans="5:7" ht="12.75">
      <c r="E2" s="5"/>
      <c r="F2" s="11" t="s">
        <v>31</v>
      </c>
      <c r="G2" s="12" t="s">
        <v>32</v>
      </c>
    </row>
    <row r="3" spans="2:16" ht="12.75">
      <c r="B3" t="str">
        <f>PEROMOD!A3</f>
        <v>Masse cor (kg)</v>
      </c>
      <c r="C3" s="9">
        <v>58</v>
      </c>
      <c r="E3" s="6" t="str">
        <f>PEROMOD!A27</f>
        <v>MAP(W/kg)  </v>
      </c>
      <c r="F3" s="20">
        <v>22.749548175865712</v>
      </c>
      <c r="G3" s="23">
        <v>29.1</v>
      </c>
      <c r="H3" s="3"/>
      <c r="I3" s="6" t="s">
        <v>42</v>
      </c>
      <c r="K3" s="15">
        <f>83.5*MAP*1.2/29.1</f>
        <v>78.33349578081595</v>
      </c>
      <c r="M3" s="1"/>
      <c r="N3" s="1"/>
      <c r="O3" s="1"/>
      <c r="P3" s="1"/>
    </row>
    <row r="4" spans="5:11" ht="12.75">
      <c r="E4" s="8" t="str">
        <f>PEROMOD!A28</f>
        <v>VO2(ml/min/kg)</v>
      </c>
      <c r="F4" s="19">
        <f>83.5*F3/29.1</f>
        <v>65.27791315067996</v>
      </c>
      <c r="G4" s="12">
        <v>83.5</v>
      </c>
      <c r="I4" s="6"/>
      <c r="K4" s="15"/>
    </row>
    <row r="5" spans="2:17" ht="12.75">
      <c r="B5" t="str">
        <f>PEROMOD!A7</f>
        <v>Distance (m)</v>
      </c>
      <c r="C5" t="str">
        <f>PEROMOD!B7</f>
        <v>Temps(sexa)</v>
      </c>
      <c r="D5" s="26" t="s">
        <v>35</v>
      </c>
      <c r="E5" s="6" t="str">
        <f>PEROMOD!A29</f>
        <v>A(J/kg)</v>
      </c>
      <c r="F5" s="21">
        <v>1423.1544398359842</v>
      </c>
      <c r="G5" s="22">
        <v>1657</v>
      </c>
      <c r="I5" t="s">
        <v>45</v>
      </c>
      <c r="J5" s="14" t="s">
        <v>44</v>
      </c>
      <c r="K5" s="1" t="s">
        <v>37</v>
      </c>
      <c r="O5" s="14"/>
      <c r="P5" s="26"/>
      <c r="Q5" s="14"/>
    </row>
    <row r="6" spans="2:17" ht="12.75">
      <c r="B6">
        <f>PEROMOD!A8</f>
        <v>60</v>
      </c>
      <c r="C6" s="10">
        <v>0</v>
      </c>
      <c r="D6" s="27">
        <f>IF(C6="00:00:00","",HOUR(C6)*3600+MINUTE(C6)*60+SECOND(C6))</f>
        <v>0</v>
      </c>
      <c r="E6" s="8" t="str">
        <f>PEROMOD!A30</f>
        <v>A(ml/kg)</v>
      </c>
      <c r="F6" s="19">
        <f>F5*1000/20800</f>
        <v>68.42088653057617</v>
      </c>
      <c r="G6" s="24">
        <v>79.66346153846153</v>
      </c>
      <c r="I6" t="s">
        <v>36</v>
      </c>
      <c r="J6" s="16">
        <f>'VO2 A E'!C12*(1-0.1238)</f>
        <v>0.002788831018518518</v>
      </c>
      <c r="K6" s="18">
        <f>'VO2 A E'!C12-J6</f>
        <v>0.000394039351851852</v>
      </c>
      <c r="N6" s="16"/>
      <c r="O6" s="27"/>
      <c r="P6" s="27"/>
      <c r="Q6" s="29"/>
    </row>
    <row r="7" spans="2:17" ht="12.75">
      <c r="B7">
        <f>PEROMOD!A9</f>
        <v>100</v>
      </c>
      <c r="C7" s="10">
        <v>0</v>
      </c>
      <c r="D7" s="27">
        <f aca="true" t="shared" si="0" ref="D7:D21">IF(C7="00:00:00","",HOUR(C7)*3600+MINUTE(C7)*60+SECOND(C7))</f>
        <v>0</v>
      </c>
      <c r="E7" s="8" t="str">
        <f>PEROMOD!A31</f>
        <v>E(W/kg/s)</v>
      </c>
      <c r="F7" s="25">
        <v>-1.5</v>
      </c>
      <c r="G7" s="12">
        <v>-1.5</v>
      </c>
      <c r="I7" t="s">
        <v>38</v>
      </c>
      <c r="J7" s="16">
        <f>'VO2 A E'!C16*(1-0.1356)</f>
        <v>0.009904583333333335</v>
      </c>
      <c r="K7" s="17">
        <f>'VO2 A E'!C16-J7</f>
        <v>0.0015537499999999996</v>
      </c>
      <c r="N7" s="16"/>
      <c r="O7" s="27"/>
      <c r="P7" s="27"/>
      <c r="Q7" s="29"/>
    </row>
    <row r="8" spans="2:17" ht="12.75">
      <c r="B8">
        <f>PEROMOD!A10</f>
        <v>200</v>
      </c>
      <c r="C8" s="10">
        <v>0</v>
      </c>
      <c r="D8" s="27">
        <f t="shared" si="0"/>
        <v>0</v>
      </c>
      <c r="E8" s="6" t="str">
        <f>PEROMOD!A32</f>
        <v>E(%)</v>
      </c>
      <c r="F8" s="28">
        <f>F7/F3*100</f>
        <v>-6.593537543709564</v>
      </c>
      <c r="G8" s="28">
        <v>-5.2</v>
      </c>
      <c r="I8" t="s">
        <v>39</v>
      </c>
      <c r="J8" s="16">
        <f>'VO2 A E'!C17*(1-0.1472)</f>
        <v>0.02072777777777778</v>
      </c>
      <c r="K8" s="17">
        <f>'VO2 A E'!C17-J8</f>
        <v>0.003577777777777777</v>
      </c>
      <c r="N8" s="16"/>
      <c r="O8" s="27"/>
      <c r="P8" s="27"/>
      <c r="Q8" s="29"/>
    </row>
    <row r="9" spans="2:17" ht="12.75">
      <c r="B9">
        <f>PEROMOD!A11</f>
        <v>400</v>
      </c>
      <c r="C9" s="10">
        <v>0</v>
      </c>
      <c r="D9" s="27">
        <f t="shared" si="0"/>
        <v>0</v>
      </c>
      <c r="E9" s="6"/>
      <c r="F9" s="7"/>
      <c r="G9" s="4"/>
      <c r="I9" t="s">
        <v>40</v>
      </c>
      <c r="J9" s="16">
        <f>'VO2 A E'!C18*(1-0.1661)</f>
        <v>0</v>
      </c>
      <c r="K9" s="17">
        <f>'VO2 A E'!C18-J9</f>
        <v>0</v>
      </c>
      <c r="N9" s="16"/>
      <c r="O9" s="27"/>
      <c r="P9" s="27"/>
      <c r="Q9" s="29"/>
    </row>
    <row r="10" spans="2:17" ht="12.75">
      <c r="B10">
        <f>PEROMOD!A12</f>
        <v>800</v>
      </c>
      <c r="C10" s="10">
        <v>0</v>
      </c>
      <c r="D10" s="27">
        <f t="shared" si="0"/>
        <v>0</v>
      </c>
      <c r="E10" s="6" t="str">
        <f>PEROMOD!A34</f>
        <v>Erreur²</v>
      </c>
      <c r="F10" s="13">
        <f>AVERAGE(PEROMOD!N8:N23)</f>
        <v>0.13314570562781228</v>
      </c>
      <c r="G10" s="4"/>
      <c r="I10" t="s">
        <v>41</v>
      </c>
      <c r="J10" s="16">
        <f>'VO2 A E'!C21*(1-0.1526)</f>
        <v>0</v>
      </c>
      <c r="K10" s="17">
        <f>'VO2 A E'!C21-J10</f>
        <v>0</v>
      </c>
      <c r="N10" s="16"/>
      <c r="O10" s="27"/>
      <c r="P10" s="27"/>
      <c r="Q10" s="29"/>
    </row>
    <row r="11" spans="2:17" ht="12.75">
      <c r="B11">
        <f>PEROMOD!A13</f>
        <v>1000</v>
      </c>
      <c r="C11" s="10">
        <v>0.0018865740740740742</v>
      </c>
      <c r="D11" s="27">
        <f t="shared" si="0"/>
        <v>163</v>
      </c>
      <c r="F11" s="2"/>
      <c r="N11" s="16"/>
      <c r="O11" s="27"/>
      <c r="P11" s="27"/>
      <c r="Q11" s="29"/>
    </row>
    <row r="12" spans="2:17" ht="12.75">
      <c r="B12">
        <f>PEROMOD!A14</f>
        <v>1500</v>
      </c>
      <c r="C12" s="10">
        <v>0.00318287037037037</v>
      </c>
      <c r="D12" s="27">
        <f t="shared" si="0"/>
        <v>275</v>
      </c>
      <c r="N12" s="16"/>
      <c r="O12" s="27"/>
      <c r="P12" s="27"/>
      <c r="Q12" s="29"/>
    </row>
    <row r="13" spans="2:17" ht="12.75">
      <c r="B13">
        <f>PEROMOD!A15</f>
        <v>1609</v>
      </c>
      <c r="C13" s="10">
        <v>0</v>
      </c>
      <c r="D13" s="27">
        <f t="shared" si="0"/>
        <v>0</v>
      </c>
      <c r="N13" s="16"/>
      <c r="O13" s="27"/>
      <c r="P13" s="27"/>
      <c r="Q13" s="29"/>
    </row>
    <row r="14" spans="2:17" ht="12.75">
      <c r="B14">
        <f>PEROMOD!A16</f>
        <v>2000</v>
      </c>
      <c r="C14" s="10">
        <v>0</v>
      </c>
      <c r="D14" s="27">
        <f t="shared" si="0"/>
        <v>0</v>
      </c>
      <c r="N14" s="16"/>
      <c r="O14" s="27"/>
      <c r="P14" s="27"/>
      <c r="Q14" s="29"/>
    </row>
    <row r="15" spans="2:17" ht="12.75">
      <c r="B15">
        <f>PEROMOD!A17</f>
        <v>3000</v>
      </c>
      <c r="C15" s="10">
        <v>0.006689814814814814</v>
      </c>
      <c r="D15" s="27">
        <f t="shared" si="0"/>
        <v>578</v>
      </c>
      <c r="N15" s="16"/>
      <c r="O15" s="27"/>
      <c r="P15" s="27"/>
      <c r="Q15" s="29"/>
    </row>
    <row r="16" spans="2:17" ht="12.75">
      <c r="B16">
        <f>PEROMOD!A18</f>
        <v>5000</v>
      </c>
      <c r="C16" s="10">
        <v>0.011458333333333334</v>
      </c>
      <c r="D16" s="27">
        <f t="shared" si="0"/>
        <v>990</v>
      </c>
      <c r="N16" s="16"/>
      <c r="O16" s="27"/>
      <c r="P16" s="27"/>
      <c r="Q16" s="29"/>
    </row>
    <row r="17" spans="2:17" ht="12.75">
      <c r="B17">
        <f>PEROMOD!A19</f>
        <v>10000</v>
      </c>
      <c r="C17" s="10">
        <v>0.024305555555555556</v>
      </c>
      <c r="D17" s="27">
        <f t="shared" si="0"/>
        <v>2100</v>
      </c>
      <c r="N17" s="16"/>
      <c r="O17" s="27"/>
      <c r="P17" s="27"/>
      <c r="Q17" s="29"/>
    </row>
    <row r="18" spans="2:17" ht="12.75">
      <c r="B18">
        <f>PEROMOD!A20</f>
        <v>20994</v>
      </c>
      <c r="C18" s="10">
        <v>0</v>
      </c>
      <c r="D18" s="27">
        <f t="shared" si="0"/>
        <v>0</v>
      </c>
      <c r="N18" s="16"/>
      <c r="O18" s="27"/>
      <c r="P18" s="27"/>
      <c r="Q18" s="29"/>
    </row>
    <row r="19" spans="2:17" ht="12.75">
      <c r="B19">
        <f>PEROMOD!A21</f>
        <v>21100</v>
      </c>
      <c r="C19" s="10">
        <v>0</v>
      </c>
      <c r="D19" s="27">
        <f t="shared" si="0"/>
        <v>0</v>
      </c>
      <c r="N19" s="16"/>
      <c r="O19" s="27"/>
      <c r="P19" s="27"/>
      <c r="Q19" s="29"/>
    </row>
    <row r="20" spans="2:17" ht="12.75">
      <c r="B20">
        <f>PEROMOD!A22</f>
        <v>30000</v>
      </c>
      <c r="C20" s="10">
        <v>0</v>
      </c>
      <c r="D20" s="27">
        <f t="shared" si="0"/>
        <v>0</v>
      </c>
      <c r="N20" s="16"/>
      <c r="O20" s="27"/>
      <c r="P20" s="27"/>
      <c r="Q20" s="29"/>
    </row>
    <row r="21" spans="2:17" ht="12.75">
      <c r="B21">
        <f>PEROMOD!A23</f>
        <v>42195</v>
      </c>
      <c r="C21" s="10">
        <v>0</v>
      </c>
      <c r="D21" s="27">
        <f t="shared" si="0"/>
        <v>0</v>
      </c>
      <c r="N21" s="16"/>
      <c r="O21" s="27"/>
      <c r="P21" s="27"/>
      <c r="Q21" s="29"/>
    </row>
    <row r="25" ht="12.75">
      <c r="K25" s="30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N54"/>
  <sheetViews>
    <sheetView showGridLines="0" workbookViewId="0" topLeftCell="A1">
      <selection activeCell="H29" sqref="H29"/>
    </sheetView>
  </sheetViews>
  <sheetFormatPr defaultColWidth="11.00390625" defaultRowHeight="12.75"/>
  <cols>
    <col min="1" max="1" width="10.25390625" style="32" customWidth="1"/>
    <col min="2" max="2" width="11.375" style="32" customWidth="1"/>
    <col min="3" max="3" width="14.00390625" style="32" customWidth="1"/>
    <col min="4" max="4" width="11.875" style="32" customWidth="1"/>
    <col min="5" max="5" width="9.625" style="32" customWidth="1"/>
    <col min="6" max="6" width="12.75390625" style="32" customWidth="1"/>
    <col min="7" max="15" width="12.00390625" style="32" customWidth="1"/>
    <col min="16" max="16" width="13.00390625" style="32" customWidth="1"/>
    <col min="17" max="17" width="12.00390625" style="32" customWidth="1"/>
    <col min="18" max="16384" width="11.375" style="32" customWidth="1"/>
  </cols>
  <sheetData>
    <row r="1" spans="1:2" ht="12.75">
      <c r="A1" s="31" t="s">
        <v>0</v>
      </c>
      <c r="B1" s="31"/>
    </row>
    <row r="2" spans="1:4" ht="12.75">
      <c r="A2" s="32" t="s">
        <v>20</v>
      </c>
      <c r="B2" s="33" t="s">
        <v>1</v>
      </c>
      <c r="C2" s="32">
        <v>1.2</v>
      </c>
      <c r="D2" s="32" t="s">
        <v>25</v>
      </c>
    </row>
    <row r="3" spans="1:4" ht="12.75">
      <c r="A3" s="32" t="s">
        <v>30</v>
      </c>
      <c r="B3" s="33" t="s">
        <v>2</v>
      </c>
      <c r="C3" s="32">
        <f>'VO2 A E'!$C$3</f>
        <v>58</v>
      </c>
      <c r="D3" s="32" t="s">
        <v>26</v>
      </c>
    </row>
    <row r="4" spans="1:4" ht="12.75">
      <c r="A4" s="32" t="s">
        <v>23</v>
      </c>
      <c r="B4" s="33" t="s">
        <v>22</v>
      </c>
      <c r="C4" s="32">
        <v>30</v>
      </c>
      <c r="D4" s="32" t="s">
        <v>27</v>
      </c>
    </row>
    <row r="5" spans="1:4" ht="12.75">
      <c r="A5" s="32" t="s">
        <v>24</v>
      </c>
      <c r="B5" s="33" t="s">
        <v>21</v>
      </c>
      <c r="C5" s="32">
        <v>20</v>
      </c>
      <c r="D5" s="32" t="s">
        <v>27</v>
      </c>
    </row>
    <row r="6" ht="12.75"/>
    <row r="7" spans="1:14" ht="12.75">
      <c r="A7" s="34" t="s">
        <v>3</v>
      </c>
      <c r="B7" s="34" t="s">
        <v>4</v>
      </c>
      <c r="C7" s="34" t="s">
        <v>5</v>
      </c>
      <c r="D7" s="34" t="s">
        <v>6</v>
      </c>
      <c r="E7" s="34" t="s">
        <v>34</v>
      </c>
      <c r="F7" s="34" t="s">
        <v>7</v>
      </c>
      <c r="G7" s="34" t="s">
        <v>8</v>
      </c>
      <c r="H7" s="34" t="s">
        <v>9</v>
      </c>
      <c r="I7" s="34" t="s">
        <v>10</v>
      </c>
      <c r="J7" s="34" t="s">
        <v>11</v>
      </c>
      <c r="K7" s="34" t="s">
        <v>10</v>
      </c>
      <c r="L7" s="34" t="s">
        <v>12</v>
      </c>
      <c r="M7" s="34" t="s">
        <v>13</v>
      </c>
      <c r="N7" s="34" t="s">
        <v>29</v>
      </c>
    </row>
    <row r="8" spans="1:14" ht="12.75">
      <c r="A8" s="35">
        <v>60</v>
      </c>
      <c r="B8" s="36">
        <f>'VO2 A E'!C6</f>
        <v>0</v>
      </c>
      <c r="C8" s="37">
        <f>'VO2 A E'!D6</f>
        <v>0</v>
      </c>
      <c r="D8" s="38">
        <f>IF(C8=0,"",A8/C8)</f>
      </c>
      <c r="E8" s="38">
        <f>IF(D8="","",D8*3.6)</f>
      </c>
      <c r="F8" s="38">
        <f>IF(B8=0,"",BMR+3.86*D8+0.4*1.8*D8^3/BM+2*D8^3/A8)</f>
      </c>
      <c r="G8" s="38">
        <f>IF(C8=0,"",S/T*(1-EXP(-T/KL))+1/T*(BMR*T+B*T+B*K*EXP(-T/K)-B*K))</f>
      </c>
      <c r="H8" s="38" t="e">
        <f aca="true" t="shared" si="0" ref="H8:H23">S/T*(1-EXP(-T/KL))</f>
        <v>#DIV/0!</v>
      </c>
      <c r="I8" s="38" t="e">
        <f aca="true" t="shared" si="1" ref="I8:I23">H8/G8*100</f>
        <v>#DIV/0!</v>
      </c>
      <c r="J8" s="38" t="e">
        <f aca="true" t="shared" si="2" ref="J8:J23">1/T*(BMR*T+B*T+B*K*EXP(-T/K)-B*K)</f>
        <v>#DIV/0!</v>
      </c>
      <c r="K8" s="38" t="e">
        <f aca="true" t="shared" si="3" ref="K8:K23">J8/G8*100</f>
        <v>#DIV/0!</v>
      </c>
      <c r="L8" s="38">
        <f>IF(T&lt;420,MAP-BMR,((MAP-BMR)+(E*LN(T/420))))</f>
        <v>21.549548175865713</v>
      </c>
      <c r="M8" s="39">
        <f aca="true" t="shared" si="4" ref="M8:M23">IF(T&lt;420,A,A*(1-0.233*LN(T/420)))</f>
        <v>1423.1544398359842</v>
      </c>
      <c r="N8" s="40">
        <f aca="true" t="shared" si="5" ref="N8:N23">IF(C8=0,0,(F8-G8)^2)</f>
        <v>0</v>
      </c>
    </row>
    <row r="9" spans="1:14" ht="12.75">
      <c r="A9" s="35">
        <v>100</v>
      </c>
      <c r="B9" s="36">
        <f>'VO2 A E'!C7</f>
        <v>0</v>
      </c>
      <c r="C9" s="37">
        <f>'VO2 A E'!D7</f>
        <v>0</v>
      </c>
      <c r="D9" s="38">
        <f aca="true" t="shared" si="6" ref="D9:D23">IF(C9=0,"",A9/C9)</f>
      </c>
      <c r="E9" s="38">
        <f aca="true" t="shared" si="7" ref="E9:E23">IF(D9="","",D9*3.6)</f>
      </c>
      <c r="F9" s="38">
        <f aca="true" t="shared" si="8" ref="F9:F23">IF(B9=0,"",BMR+3.86*D9+0.4*1.8*D9^3/BM+2*D9^3/A9)</f>
      </c>
      <c r="G9" s="38">
        <f aca="true" t="shared" si="9" ref="G9:G23">IF(C9=0,"",S/T*(1-EXP(-T/KL))+1/T*(BMR*T+B*T+B*K*EXP(-T/K)-B*K))</f>
      </c>
      <c r="H9" s="38" t="e">
        <f t="shared" si="0"/>
        <v>#DIV/0!</v>
      </c>
      <c r="I9" s="38" t="e">
        <f t="shared" si="1"/>
        <v>#DIV/0!</v>
      </c>
      <c r="J9" s="38" t="e">
        <f t="shared" si="2"/>
        <v>#DIV/0!</v>
      </c>
      <c r="K9" s="38" t="e">
        <f t="shared" si="3"/>
        <v>#DIV/0!</v>
      </c>
      <c r="L9" s="38">
        <f aca="true" t="shared" si="10" ref="L9:L23">IF(T&lt;420,MAP-BMR,((MAP-BMR)+(E*LN(T/420))))</f>
        <v>21.549548175865713</v>
      </c>
      <c r="M9" s="39">
        <f t="shared" si="4"/>
        <v>1423.1544398359842</v>
      </c>
      <c r="N9" s="40">
        <f t="shared" si="5"/>
        <v>0</v>
      </c>
    </row>
    <row r="10" spans="1:14" ht="12.75">
      <c r="A10" s="35">
        <v>200</v>
      </c>
      <c r="B10" s="36">
        <f>'VO2 A E'!C8</f>
        <v>0</v>
      </c>
      <c r="C10" s="37">
        <f>'VO2 A E'!D8</f>
        <v>0</v>
      </c>
      <c r="D10" s="38">
        <f t="shared" si="6"/>
      </c>
      <c r="E10" s="38">
        <f t="shared" si="7"/>
      </c>
      <c r="F10" s="38">
        <f t="shared" si="8"/>
      </c>
      <c r="G10" s="38">
        <f t="shared" si="9"/>
      </c>
      <c r="H10" s="38" t="e">
        <f t="shared" si="0"/>
        <v>#DIV/0!</v>
      </c>
      <c r="I10" s="38" t="e">
        <f t="shared" si="1"/>
        <v>#DIV/0!</v>
      </c>
      <c r="J10" s="38" t="e">
        <f t="shared" si="2"/>
        <v>#DIV/0!</v>
      </c>
      <c r="K10" s="38" t="e">
        <f t="shared" si="3"/>
        <v>#DIV/0!</v>
      </c>
      <c r="L10" s="38">
        <f t="shared" si="10"/>
        <v>21.549548175865713</v>
      </c>
      <c r="M10" s="39">
        <f t="shared" si="4"/>
        <v>1423.1544398359842</v>
      </c>
      <c r="N10" s="40">
        <f t="shared" si="5"/>
        <v>0</v>
      </c>
    </row>
    <row r="11" spans="1:14" ht="12.75">
      <c r="A11" s="35">
        <v>400</v>
      </c>
      <c r="B11" s="36">
        <f>'VO2 A E'!C9</f>
        <v>0</v>
      </c>
      <c r="C11" s="37">
        <f>'VO2 A E'!D9</f>
        <v>0</v>
      </c>
      <c r="D11" s="38">
        <f t="shared" si="6"/>
      </c>
      <c r="E11" s="38">
        <f t="shared" si="7"/>
      </c>
      <c r="F11" s="38">
        <f t="shared" si="8"/>
      </c>
      <c r="G11" s="38">
        <f t="shared" si="9"/>
      </c>
      <c r="H11" s="38" t="e">
        <f t="shared" si="0"/>
        <v>#DIV/0!</v>
      </c>
      <c r="I11" s="38" t="e">
        <f t="shared" si="1"/>
        <v>#DIV/0!</v>
      </c>
      <c r="J11" s="38" t="e">
        <f t="shared" si="2"/>
        <v>#DIV/0!</v>
      </c>
      <c r="K11" s="38" t="e">
        <f t="shared" si="3"/>
        <v>#DIV/0!</v>
      </c>
      <c r="L11" s="38">
        <f t="shared" si="10"/>
        <v>21.549548175865713</v>
      </c>
      <c r="M11" s="39">
        <f t="shared" si="4"/>
        <v>1423.1544398359842</v>
      </c>
      <c r="N11" s="40">
        <f t="shared" si="5"/>
        <v>0</v>
      </c>
    </row>
    <row r="12" spans="1:14" ht="12.75">
      <c r="A12" s="35">
        <v>800</v>
      </c>
      <c r="B12" s="36">
        <f>'VO2 A E'!C10</f>
        <v>0</v>
      </c>
      <c r="C12" s="37">
        <f>'VO2 A E'!D10</f>
        <v>0</v>
      </c>
      <c r="D12" s="38">
        <f t="shared" si="6"/>
      </c>
      <c r="E12" s="38">
        <f t="shared" si="7"/>
      </c>
      <c r="F12" s="38">
        <f t="shared" si="8"/>
      </c>
      <c r="G12" s="38">
        <f t="shared" si="9"/>
      </c>
      <c r="H12" s="38" t="e">
        <f t="shared" si="0"/>
        <v>#DIV/0!</v>
      </c>
      <c r="I12" s="38" t="e">
        <f t="shared" si="1"/>
        <v>#DIV/0!</v>
      </c>
      <c r="J12" s="38" t="e">
        <f t="shared" si="2"/>
        <v>#DIV/0!</v>
      </c>
      <c r="K12" s="38" t="e">
        <f t="shared" si="3"/>
        <v>#DIV/0!</v>
      </c>
      <c r="L12" s="38">
        <f t="shared" si="10"/>
        <v>21.549548175865713</v>
      </c>
      <c r="M12" s="39">
        <f t="shared" si="4"/>
        <v>1423.1544398359842</v>
      </c>
      <c r="N12" s="40">
        <f t="shared" si="5"/>
        <v>0</v>
      </c>
    </row>
    <row r="13" spans="1:14" ht="12.75">
      <c r="A13" s="35">
        <v>1000</v>
      </c>
      <c r="B13" s="36">
        <f>'VO2 A E'!C11</f>
        <v>0.0018865740740740742</v>
      </c>
      <c r="C13" s="37">
        <f>'VO2 A E'!D11</f>
        <v>163</v>
      </c>
      <c r="D13" s="38">
        <f t="shared" si="6"/>
        <v>6.134969325153374</v>
      </c>
      <c r="E13" s="38">
        <f t="shared" si="7"/>
        <v>22.085889570552148</v>
      </c>
      <c r="F13" s="38">
        <f t="shared" si="8"/>
        <v>28.20922799310333</v>
      </c>
      <c r="G13" s="38">
        <f t="shared" si="9"/>
        <v>27.529187819590796</v>
      </c>
      <c r="H13" s="38">
        <f t="shared" si="0"/>
        <v>8.728487882374182</v>
      </c>
      <c r="I13" s="38">
        <f t="shared" si="1"/>
        <v>31.706303649694544</v>
      </c>
      <c r="J13" s="38">
        <f t="shared" si="2"/>
        <v>18.800699937216613</v>
      </c>
      <c r="K13" s="38">
        <f t="shared" si="3"/>
        <v>68.29369635030545</v>
      </c>
      <c r="L13" s="38">
        <f t="shared" si="10"/>
        <v>21.549548175865713</v>
      </c>
      <c r="M13" s="39">
        <f t="shared" si="4"/>
        <v>1423.1544398359842</v>
      </c>
      <c r="N13" s="40">
        <f t="shared" si="5"/>
        <v>0.4624546375909575</v>
      </c>
    </row>
    <row r="14" spans="1:14" ht="12.75">
      <c r="A14" s="35">
        <v>1500</v>
      </c>
      <c r="B14" s="36">
        <f>'VO2 A E'!C12</f>
        <v>0.00318287037037037</v>
      </c>
      <c r="C14" s="37">
        <f>'VO2 A E'!D12</f>
        <v>275</v>
      </c>
      <c r="D14" s="38">
        <f t="shared" si="6"/>
        <v>5.454545454545454</v>
      </c>
      <c r="E14" s="38">
        <f t="shared" si="7"/>
        <v>19.636363636363637</v>
      </c>
      <c r="F14" s="38">
        <f t="shared" si="8"/>
        <v>24.485484079898438</v>
      </c>
      <c r="G14" s="38">
        <f t="shared" si="9"/>
        <v>25.57403548388504</v>
      </c>
      <c r="H14" s="38">
        <f t="shared" si="0"/>
        <v>5.17510152846648</v>
      </c>
      <c r="I14" s="38">
        <f t="shared" si="1"/>
        <v>20.2357642450581</v>
      </c>
      <c r="J14" s="38">
        <f t="shared" si="2"/>
        <v>20.39893395541856</v>
      </c>
      <c r="K14" s="38">
        <f t="shared" si="3"/>
        <v>79.7642357549419</v>
      </c>
      <c r="L14" s="38">
        <f t="shared" si="10"/>
        <v>21.549548175865713</v>
      </c>
      <c r="M14" s="39">
        <f t="shared" si="4"/>
        <v>1423.1544398359842</v>
      </c>
      <c r="N14" s="40">
        <f t="shared" si="5"/>
        <v>1.1849441591212049</v>
      </c>
    </row>
    <row r="15" spans="1:14" ht="12.75">
      <c r="A15" s="35">
        <v>1609</v>
      </c>
      <c r="B15" s="36">
        <f>'VO2 A E'!C13</f>
        <v>0</v>
      </c>
      <c r="C15" s="37">
        <f>'VO2 A E'!D13</f>
        <v>0</v>
      </c>
      <c r="D15" s="38">
        <f t="shared" si="6"/>
      </c>
      <c r="E15" s="38">
        <f t="shared" si="7"/>
      </c>
      <c r="F15" s="38">
        <f t="shared" si="8"/>
      </c>
      <c r="G15" s="38">
        <f t="shared" si="9"/>
      </c>
      <c r="H15" s="38" t="e">
        <f t="shared" si="0"/>
        <v>#DIV/0!</v>
      </c>
      <c r="I15" s="38" t="e">
        <f t="shared" si="1"/>
        <v>#DIV/0!</v>
      </c>
      <c r="J15" s="38" t="e">
        <f t="shared" si="2"/>
        <v>#DIV/0!</v>
      </c>
      <c r="K15" s="38" t="e">
        <f t="shared" si="3"/>
        <v>#DIV/0!</v>
      </c>
      <c r="L15" s="38">
        <f t="shared" si="10"/>
        <v>21.549548175865713</v>
      </c>
      <c r="M15" s="39">
        <f t="shared" si="4"/>
        <v>1423.1544398359842</v>
      </c>
      <c r="N15" s="40">
        <f t="shared" si="5"/>
        <v>0</v>
      </c>
    </row>
    <row r="16" spans="1:14" ht="12.75">
      <c r="A16" s="35">
        <v>2000</v>
      </c>
      <c r="B16" s="36">
        <f>'VO2 A E'!C14</f>
        <v>0</v>
      </c>
      <c r="C16" s="37">
        <f>'VO2 A E'!D14</f>
        <v>0</v>
      </c>
      <c r="D16" s="38">
        <f t="shared" si="6"/>
      </c>
      <c r="E16" s="38">
        <f t="shared" si="7"/>
      </c>
      <c r="F16" s="38">
        <f t="shared" si="8"/>
      </c>
      <c r="G16" s="38">
        <f t="shared" si="9"/>
      </c>
      <c r="H16" s="38" t="e">
        <f t="shared" si="0"/>
        <v>#DIV/0!</v>
      </c>
      <c r="I16" s="38" t="e">
        <f t="shared" si="1"/>
        <v>#DIV/0!</v>
      </c>
      <c r="J16" s="38" t="e">
        <f t="shared" si="2"/>
        <v>#DIV/0!</v>
      </c>
      <c r="K16" s="38" t="e">
        <f t="shared" si="3"/>
        <v>#DIV/0!</v>
      </c>
      <c r="L16" s="38">
        <f t="shared" si="10"/>
        <v>21.549548175865713</v>
      </c>
      <c r="M16" s="39">
        <f t="shared" si="4"/>
        <v>1423.1544398359842</v>
      </c>
      <c r="N16" s="40">
        <f t="shared" si="5"/>
        <v>0</v>
      </c>
    </row>
    <row r="17" spans="1:14" ht="12.75">
      <c r="A17" s="35">
        <v>3000</v>
      </c>
      <c r="B17" s="36">
        <f>'VO2 A E'!C15</f>
        <v>0.006689814814814814</v>
      </c>
      <c r="C17" s="37">
        <f>'VO2 A E'!D15</f>
        <v>578</v>
      </c>
      <c r="D17" s="38">
        <f t="shared" si="6"/>
        <v>5.190311418685121</v>
      </c>
      <c r="E17" s="38">
        <f t="shared" si="7"/>
        <v>18.685121107266436</v>
      </c>
      <c r="F17" s="38">
        <f t="shared" si="8"/>
        <v>23.063558079280387</v>
      </c>
      <c r="G17" s="38">
        <f t="shared" si="9"/>
        <v>23.455954782876947</v>
      </c>
      <c r="H17" s="38">
        <f t="shared" si="0"/>
        <v>2.279013510025077</v>
      </c>
      <c r="I17" s="38">
        <f t="shared" si="1"/>
        <v>9.71614044757955</v>
      </c>
      <c r="J17" s="38">
        <f t="shared" si="2"/>
        <v>21.17694127285187</v>
      </c>
      <c r="K17" s="38">
        <f t="shared" si="3"/>
        <v>90.28385955242045</v>
      </c>
      <c r="L17" s="38">
        <f t="shared" si="10"/>
        <v>21.07056943977327</v>
      </c>
      <c r="M17" s="39">
        <f t="shared" si="4"/>
        <v>1317.2698087948647</v>
      </c>
      <c r="N17" s="40">
        <f t="shared" si="5"/>
        <v>0.15397517299344682</v>
      </c>
    </row>
    <row r="18" spans="1:14" ht="12.75">
      <c r="A18" s="35">
        <v>5000</v>
      </c>
      <c r="B18" s="36">
        <f>'VO2 A E'!C16</f>
        <v>0.011458333333333334</v>
      </c>
      <c r="C18" s="37">
        <f>'VO2 A E'!D16</f>
        <v>990</v>
      </c>
      <c r="D18" s="38">
        <f t="shared" si="6"/>
        <v>5.05050505050505</v>
      </c>
      <c r="E18" s="38">
        <f t="shared" si="7"/>
        <v>18.18181818181818</v>
      </c>
      <c r="F18" s="38">
        <f t="shared" si="8"/>
        <v>22.345702652410267</v>
      </c>
      <c r="G18" s="38">
        <f t="shared" si="9"/>
        <v>21.999662786340103</v>
      </c>
      <c r="H18" s="38">
        <f t="shared" si="0"/>
        <v>1.1503315591024001</v>
      </c>
      <c r="I18" s="38">
        <f t="shared" si="1"/>
        <v>5.228859961511124</v>
      </c>
      <c r="J18" s="38">
        <f t="shared" si="2"/>
        <v>20.849331227237702</v>
      </c>
      <c r="K18" s="38">
        <f t="shared" si="3"/>
        <v>94.77114003848887</v>
      </c>
      <c r="L18" s="38">
        <f t="shared" si="10"/>
        <v>20.26337282808888</v>
      </c>
      <c r="M18" s="39">
        <f t="shared" si="4"/>
        <v>1138.828243511376</v>
      </c>
      <c r="N18" s="40">
        <f t="shared" si="5"/>
        <v>0.1197435889098572</v>
      </c>
    </row>
    <row r="19" spans="1:14" ht="12.75">
      <c r="A19" s="35">
        <v>10000</v>
      </c>
      <c r="B19" s="36">
        <f>'VO2 A E'!C17</f>
        <v>0.024305555555555556</v>
      </c>
      <c r="C19" s="37">
        <f>'VO2 A E'!D17</f>
        <v>2100</v>
      </c>
      <c r="D19" s="38">
        <f t="shared" si="6"/>
        <v>4.761904761904762</v>
      </c>
      <c r="E19" s="38">
        <f t="shared" si="7"/>
        <v>17.142857142857142</v>
      </c>
      <c r="F19" s="38">
        <f t="shared" si="8"/>
        <v>20.942985973809336</v>
      </c>
      <c r="G19" s="38">
        <f t="shared" si="9"/>
        <v>20.485587098177213</v>
      </c>
      <c r="H19" s="38">
        <f t="shared" si="0"/>
        <v>0.42355852392285875</v>
      </c>
      <c r="I19" s="38">
        <f t="shared" si="1"/>
        <v>2.0675928002109667</v>
      </c>
      <c r="J19" s="38">
        <f t="shared" si="2"/>
        <v>20.062028574254352</v>
      </c>
      <c r="K19" s="38">
        <f t="shared" si="3"/>
        <v>97.93240719978903</v>
      </c>
      <c r="L19" s="38">
        <f t="shared" si="10"/>
        <v>19.13539130721456</v>
      </c>
      <c r="M19" s="39">
        <f t="shared" si="4"/>
        <v>889.4729002380034</v>
      </c>
      <c r="N19" s="40">
        <f t="shared" si="5"/>
        <v>0.20921373142953012</v>
      </c>
    </row>
    <row r="20" spans="1:14" ht="12.75">
      <c r="A20" s="35">
        <v>20994</v>
      </c>
      <c r="B20" s="36">
        <f>'VO2 A E'!C18</f>
        <v>0</v>
      </c>
      <c r="C20" s="37">
        <f>'VO2 A E'!D18</f>
        <v>0</v>
      </c>
      <c r="D20" s="38">
        <f t="shared" si="6"/>
      </c>
      <c r="E20" s="38">
        <f t="shared" si="7"/>
      </c>
      <c r="F20" s="38">
        <f t="shared" si="8"/>
      </c>
      <c r="G20" s="38">
        <f t="shared" si="9"/>
      </c>
      <c r="H20" s="38" t="e">
        <f t="shared" si="0"/>
        <v>#DIV/0!</v>
      </c>
      <c r="I20" s="38" t="e">
        <f t="shared" si="1"/>
        <v>#DIV/0!</v>
      </c>
      <c r="J20" s="38" t="e">
        <f t="shared" si="2"/>
        <v>#DIV/0!</v>
      </c>
      <c r="K20" s="38" t="e">
        <f t="shared" si="3"/>
        <v>#DIV/0!</v>
      </c>
      <c r="L20" s="38">
        <f t="shared" si="10"/>
        <v>21.549548175865713</v>
      </c>
      <c r="M20" s="39">
        <f t="shared" si="4"/>
        <v>1423.1544398359842</v>
      </c>
      <c r="N20" s="40">
        <f t="shared" si="5"/>
        <v>0</v>
      </c>
    </row>
    <row r="21" spans="1:14" ht="12.75">
      <c r="A21" s="35">
        <v>21100</v>
      </c>
      <c r="B21" s="36">
        <f>'VO2 A E'!C19</f>
        <v>0</v>
      </c>
      <c r="C21" s="37">
        <f>'VO2 A E'!D19</f>
        <v>0</v>
      </c>
      <c r="D21" s="38">
        <f t="shared" si="6"/>
      </c>
      <c r="E21" s="38">
        <f t="shared" si="7"/>
      </c>
      <c r="F21" s="38">
        <f t="shared" si="8"/>
      </c>
      <c r="G21" s="38">
        <f t="shared" si="9"/>
      </c>
      <c r="H21" s="38" t="e">
        <f t="shared" si="0"/>
        <v>#DIV/0!</v>
      </c>
      <c r="I21" s="38" t="e">
        <f t="shared" si="1"/>
        <v>#DIV/0!</v>
      </c>
      <c r="J21" s="38" t="e">
        <f t="shared" si="2"/>
        <v>#DIV/0!</v>
      </c>
      <c r="K21" s="38" t="e">
        <f t="shared" si="3"/>
        <v>#DIV/0!</v>
      </c>
      <c r="L21" s="38">
        <f t="shared" si="10"/>
        <v>21.549548175865713</v>
      </c>
      <c r="M21" s="39">
        <f t="shared" si="4"/>
        <v>1423.1544398359842</v>
      </c>
      <c r="N21" s="40">
        <f t="shared" si="5"/>
        <v>0</v>
      </c>
    </row>
    <row r="22" spans="1:14" ht="12.75">
      <c r="A22" s="35">
        <v>30000</v>
      </c>
      <c r="B22" s="36">
        <f>'VO2 A E'!C20</f>
        <v>0</v>
      </c>
      <c r="C22" s="37">
        <f>'VO2 A E'!D20</f>
        <v>0</v>
      </c>
      <c r="D22" s="38">
        <f t="shared" si="6"/>
      </c>
      <c r="E22" s="38">
        <f t="shared" si="7"/>
      </c>
      <c r="F22" s="38">
        <f t="shared" si="8"/>
      </c>
      <c r="G22" s="38">
        <f t="shared" si="9"/>
      </c>
      <c r="H22" s="38" t="e">
        <f t="shared" si="0"/>
        <v>#DIV/0!</v>
      </c>
      <c r="I22" s="38" t="e">
        <f t="shared" si="1"/>
        <v>#DIV/0!</v>
      </c>
      <c r="J22" s="38" t="e">
        <f t="shared" si="2"/>
        <v>#DIV/0!</v>
      </c>
      <c r="K22" s="38" t="e">
        <f t="shared" si="3"/>
        <v>#DIV/0!</v>
      </c>
      <c r="L22" s="38">
        <f t="shared" si="10"/>
        <v>21.549548175865713</v>
      </c>
      <c r="M22" s="39">
        <f t="shared" si="4"/>
        <v>1423.1544398359842</v>
      </c>
      <c r="N22" s="40">
        <f t="shared" si="5"/>
        <v>0</v>
      </c>
    </row>
    <row r="23" spans="1:14" ht="12.75">
      <c r="A23" s="35">
        <v>42195</v>
      </c>
      <c r="B23" s="36">
        <f>'VO2 A E'!C21</f>
        <v>0</v>
      </c>
      <c r="C23" s="37">
        <f>'VO2 A E'!D21</f>
        <v>0</v>
      </c>
      <c r="D23" s="38">
        <f t="shared" si="6"/>
      </c>
      <c r="E23" s="38">
        <f t="shared" si="7"/>
      </c>
      <c r="F23" s="38">
        <f t="shared" si="8"/>
      </c>
      <c r="G23" s="38">
        <f t="shared" si="9"/>
      </c>
      <c r="H23" s="38" t="e">
        <f t="shared" si="0"/>
        <v>#DIV/0!</v>
      </c>
      <c r="I23" s="38" t="e">
        <f t="shared" si="1"/>
        <v>#DIV/0!</v>
      </c>
      <c r="J23" s="38" t="e">
        <f t="shared" si="2"/>
        <v>#DIV/0!</v>
      </c>
      <c r="K23" s="38" t="e">
        <f t="shared" si="3"/>
        <v>#DIV/0!</v>
      </c>
      <c r="L23" s="38">
        <f t="shared" si="10"/>
        <v>21.549548175865713</v>
      </c>
      <c r="M23" s="39">
        <f t="shared" si="4"/>
        <v>1423.1544398359842</v>
      </c>
      <c r="N23" s="40">
        <f t="shared" si="5"/>
        <v>0</v>
      </c>
    </row>
    <row r="24" spans="4:14" ht="12.75">
      <c r="D24" s="36"/>
      <c r="E24" s="41"/>
      <c r="N24" s="42">
        <f>SUM(N8:N23)</f>
        <v>2.1303312900449964</v>
      </c>
    </row>
    <row r="25" ht="12.75"/>
    <row r="26" spans="1:3" ht="12.75">
      <c r="A26" s="31"/>
      <c r="B26" s="31" t="s">
        <v>14</v>
      </c>
      <c r="C26" s="32" t="s">
        <v>28</v>
      </c>
    </row>
    <row r="27" spans="1:12" ht="12.75">
      <c r="A27" s="33" t="s">
        <v>15</v>
      </c>
      <c r="B27" s="43">
        <v>25.1715150158896</v>
      </c>
      <c r="C27" s="44">
        <v>29.1</v>
      </c>
      <c r="D27" s="45"/>
      <c r="E27" s="41"/>
      <c r="F27" s="46"/>
      <c r="G27" s="41"/>
      <c r="I27" s="41"/>
      <c r="J27" s="41"/>
      <c r="K27" s="41"/>
      <c r="L27" s="41"/>
    </row>
    <row r="28" spans="1:3" ht="12.75">
      <c r="A28" s="33" t="s">
        <v>43</v>
      </c>
      <c r="B28" s="43">
        <v>72.22754308683098</v>
      </c>
      <c r="C28" s="32">
        <v>83.5</v>
      </c>
    </row>
    <row r="29" spans="1:3" ht="12.75">
      <c r="A29" s="33" t="s">
        <v>16</v>
      </c>
      <c r="B29" s="43">
        <v>1207.6270697641573</v>
      </c>
      <c r="C29" s="32">
        <v>1657</v>
      </c>
    </row>
    <row r="30" spans="1:3" ht="12.75">
      <c r="A30" s="33" t="s">
        <v>17</v>
      </c>
      <c r="B30" s="43">
        <v>58.05899373866141</v>
      </c>
      <c r="C30" s="32">
        <f>C29*1000/20800</f>
        <v>79.66346153846153</v>
      </c>
    </row>
    <row r="31" spans="1:3" ht="12.75">
      <c r="A31" s="33" t="s">
        <v>19</v>
      </c>
      <c r="B31" s="43">
        <v>-2.57293393303618</v>
      </c>
      <c r="C31" s="32">
        <v>-1.5</v>
      </c>
    </row>
    <row r="32" spans="1:3" ht="12.75">
      <c r="A32" s="33" t="s">
        <v>18</v>
      </c>
      <c r="B32" s="43">
        <v>-10.221609352524101</v>
      </c>
      <c r="C32" s="43">
        <f>C31/C27*100</f>
        <v>-5.154639175257731</v>
      </c>
    </row>
    <row r="33" spans="1:2" ht="12.75">
      <c r="A33" s="33"/>
      <c r="B33" s="43"/>
    </row>
    <row r="34" spans="1:2" ht="12.75">
      <c r="A34" s="33" t="s">
        <v>33</v>
      </c>
      <c r="B34" s="42">
        <f>'VO2 A E'!$F$10</f>
        <v>0.13314570562781228</v>
      </c>
    </row>
    <row r="35" ht="12.75">
      <c r="B35" s="47"/>
    </row>
    <row r="46" spans="9:10" ht="12.75">
      <c r="I46" s="31"/>
      <c r="J46" s="31"/>
    </row>
    <row r="47" spans="9:10" ht="12.75">
      <c r="I47" s="33"/>
      <c r="J47" s="43"/>
    </row>
    <row r="48" spans="9:10" ht="12.75">
      <c r="I48" s="48"/>
      <c r="J48" s="49"/>
    </row>
    <row r="49" spans="9:10" ht="12.75">
      <c r="I49" s="33"/>
      <c r="J49" s="43"/>
    </row>
    <row r="50" spans="9:10" ht="12.75">
      <c r="I50" s="48"/>
      <c r="J50" s="49"/>
    </row>
    <row r="51" spans="9:10" ht="12.75">
      <c r="I51" s="33"/>
      <c r="J51" s="49"/>
    </row>
    <row r="52" spans="9:10" ht="12.75">
      <c r="I52" s="33"/>
      <c r="J52" s="43"/>
    </row>
    <row r="53" spans="9:10" ht="12.75">
      <c r="I53" s="33"/>
      <c r="J53" s="43"/>
    </row>
    <row r="54" spans="9:10" ht="12.75">
      <c r="I54" s="33"/>
      <c r="J54" s="43"/>
    </row>
  </sheetData>
  <sheetProtection password="8219" sheet="1"/>
  <printOptions/>
  <pageMargins left="0.75" right="0.75" top="1" bottom="1" header="0.4921259845" footer="0.4921259845"/>
  <pageSetup horizontalDpi="200" verticalDpi="200" orientation="portrait" r:id="rId4"/>
  <headerFooter alignWithMargins="0">
    <oddHeader>&amp;C&amp;F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Rouge</cp:lastModifiedBy>
  <dcterms:created xsi:type="dcterms:W3CDTF">2003-10-23T18:26:38Z</dcterms:created>
  <dcterms:modified xsi:type="dcterms:W3CDTF">2007-09-02T10:15:39Z</dcterms:modified>
  <cp:category/>
  <cp:version/>
  <cp:contentType/>
  <cp:contentStatus/>
</cp:coreProperties>
</file>